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will\Lifehouse Church Dropbox\Michelle Williams\PC (2)\Downloads\"/>
    </mc:Choice>
  </mc:AlternateContent>
  <xr:revisionPtr revIDLastSave="0" documentId="8_{8AB37127-B0AF-4E6A-9BB5-84E80C033505}" xr6:coauthVersionLast="47" xr6:coauthVersionMax="47" xr10:uidLastSave="{00000000-0000-0000-0000-000000000000}"/>
  <bookViews>
    <workbookView xWindow="2304" yWindow="96" windowWidth="13692" windowHeight="12240" xr2:uid="{00000000-000D-0000-FFFF-FFFF00000000}"/>
  </bookViews>
  <sheets>
    <sheet name="Profit and Loss FY Prime Accts" sheetId="1" r:id="rId1"/>
    <sheet name="Profit and Loss FY w-Sub Ac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7" i="2" l="1"/>
  <c r="B148" i="2" s="1"/>
  <c r="B149" i="2" s="1"/>
  <c r="B142" i="2"/>
  <c r="B139" i="2"/>
  <c r="B138" i="2"/>
  <c r="B137" i="2"/>
  <c r="B136" i="2"/>
  <c r="B140" i="2" s="1"/>
  <c r="B134" i="2"/>
  <c r="B133" i="2"/>
  <c r="B132" i="2"/>
  <c r="B130" i="2"/>
  <c r="B129" i="2"/>
  <c r="B128" i="2"/>
  <c r="B127" i="2"/>
  <c r="B126" i="2"/>
  <c r="B125" i="2"/>
  <c r="B124" i="2"/>
  <c r="B131" i="2" s="1"/>
  <c r="B122" i="2"/>
  <c r="B118" i="2"/>
  <c r="B119" i="2" s="1"/>
  <c r="B117" i="2"/>
  <c r="B116" i="2"/>
  <c r="B115" i="2"/>
  <c r="B113" i="2"/>
  <c r="B112" i="2"/>
  <c r="B111" i="2"/>
  <c r="B110" i="2"/>
  <c r="B109" i="2"/>
  <c r="B108" i="2"/>
  <c r="B107" i="2"/>
  <c r="B120" i="2" s="1"/>
  <c r="B104" i="2"/>
  <c r="B103" i="2"/>
  <c r="B102" i="2"/>
  <c r="B101" i="2"/>
  <c r="B100" i="2"/>
  <c r="B105" i="2" s="1"/>
  <c r="B99" i="2"/>
  <c r="B96" i="2"/>
  <c r="B95" i="2"/>
  <c r="B94" i="2"/>
  <c r="B91" i="2"/>
  <c r="B92" i="2" s="1"/>
  <c r="B89" i="2"/>
  <c r="B88" i="2"/>
  <c r="B87" i="2"/>
  <c r="B86" i="2"/>
  <c r="B83" i="2"/>
  <c r="B82" i="2"/>
  <c r="B81" i="2"/>
  <c r="B80" i="2"/>
  <c r="B84" i="2" s="1"/>
  <c r="B77" i="2"/>
  <c r="B76" i="2"/>
  <c r="B78" i="2" s="1"/>
  <c r="B97" i="2" s="1"/>
  <c r="B75" i="2"/>
  <c r="B74" i="2"/>
  <c r="B70" i="2"/>
  <c r="B69" i="2"/>
  <c r="B68" i="2"/>
  <c r="B67" i="2"/>
  <c r="B66" i="2"/>
  <c r="B65" i="2"/>
  <c r="B71" i="2" s="1"/>
  <c r="B61" i="2"/>
  <c r="B60" i="2"/>
  <c r="B59" i="2"/>
  <c r="B58" i="2"/>
  <c r="B57" i="2"/>
  <c r="B56" i="2"/>
  <c r="B55" i="2"/>
  <c r="B54" i="2"/>
  <c r="B53" i="2"/>
  <c r="B52" i="2"/>
  <c r="B62" i="2" s="1"/>
  <c r="B48" i="2"/>
  <c r="B47" i="2"/>
  <c r="B49" i="2" s="1"/>
  <c r="B46" i="2"/>
  <c r="B45" i="2"/>
  <c r="B42" i="2"/>
  <c r="B41" i="2"/>
  <c r="B40" i="2"/>
  <c r="B39" i="2"/>
  <c r="B38" i="2"/>
  <c r="B43" i="2" s="1"/>
  <c r="B35" i="2"/>
  <c r="B34" i="2"/>
  <c r="B33" i="2"/>
  <c r="B32" i="2"/>
  <c r="B31" i="2"/>
  <c r="B30" i="2"/>
  <c r="B29" i="2"/>
  <c r="B36" i="2" s="1"/>
  <c r="B24" i="2"/>
  <c r="B23" i="2"/>
  <c r="B25" i="2" s="1"/>
  <c r="B21" i="2"/>
  <c r="B26" i="2" s="1"/>
  <c r="B20" i="2"/>
  <c r="B19" i="2"/>
  <c r="B18" i="2"/>
  <c r="B17" i="2"/>
  <c r="B16" i="2"/>
  <c r="B15" i="2"/>
  <c r="B10" i="2"/>
  <c r="B11" i="2" s="1"/>
  <c r="B9" i="2"/>
  <c r="B8" i="2"/>
  <c r="B7" i="2"/>
  <c r="B20" i="1"/>
  <c r="B21" i="1" s="1"/>
  <c r="B22" i="1" s="1"/>
  <c r="B16" i="1"/>
  <c r="B15" i="1"/>
  <c r="B14" i="1"/>
  <c r="B13" i="1"/>
  <c r="B17" i="1" s="1"/>
  <c r="B10" i="1"/>
  <c r="B11" i="1" s="1"/>
  <c r="B18" i="1" s="1"/>
  <c r="B9" i="1"/>
  <c r="B8" i="1"/>
  <c r="B7" i="1"/>
  <c r="B50" i="2" l="1"/>
  <c r="B141" i="2"/>
  <c r="B143" i="2" s="1"/>
  <c r="B23" i="1"/>
  <c r="B144" i="2" l="1"/>
  <c r="B145" i="2" s="1"/>
  <c r="B150" i="2" s="1"/>
</calcChain>
</file>

<file path=xl/sharedStrings.xml><?xml version="1.0" encoding="utf-8"?>
<sst xmlns="http://schemas.openxmlformats.org/spreadsheetml/2006/main" count="173" uniqueCount="151">
  <si>
    <t>Total</t>
  </si>
  <si>
    <t>Income</t>
  </si>
  <si>
    <t xml:space="preserve">   31000 Tithes &amp; Offerings</t>
  </si>
  <si>
    <t xml:space="preserve">   31500 Rental Income</t>
  </si>
  <si>
    <t xml:space="preserve">   32000 Miscellaneous</t>
  </si>
  <si>
    <t>Total Income</t>
  </si>
  <si>
    <t>Gross Profit</t>
  </si>
  <si>
    <t>Expenses</t>
  </si>
  <si>
    <t xml:space="preserve">   40000 Personnel</t>
  </si>
  <si>
    <t xml:space="preserve">   50000 Facilities</t>
  </si>
  <si>
    <t xml:space="preserve">   60000 Operations</t>
  </si>
  <si>
    <t xml:space="preserve">   70000 Ministries</t>
  </si>
  <si>
    <t>Total Expenses</t>
  </si>
  <si>
    <t>Net Operating Income</t>
  </si>
  <si>
    <t>Other Expenses</t>
  </si>
  <si>
    <t xml:space="preserve">   99100 Depreciation &amp; Amortization</t>
  </si>
  <si>
    <t>Total Other Expenses</t>
  </si>
  <si>
    <t>Net Other Income</t>
  </si>
  <si>
    <t>Net Income</t>
  </si>
  <si>
    <t>Monday, Jan 20, 2025 12:53:35 PM GMT-8 - Cash Basis</t>
  </si>
  <si>
    <t>The Lifehouse Church, Inc</t>
  </si>
  <si>
    <t>Profit and Loss</t>
  </si>
  <si>
    <t>July 2023 - June 2024</t>
  </si>
  <si>
    <t xml:space="preserve">      41000 Salaries</t>
  </si>
  <si>
    <t xml:space="preserve">         41100 Executive Team</t>
  </si>
  <si>
    <t xml:space="preserve">         41200 Discipleship</t>
  </si>
  <si>
    <t xml:space="preserve">         41300 Creative Arts</t>
  </si>
  <si>
    <t xml:space="preserve">         41400 Student Ministries</t>
  </si>
  <si>
    <t xml:space="preserve">         41500 Assimilation &amp; Campuses</t>
  </si>
  <si>
    <t xml:space="preserve">         41600 Operations Department</t>
  </si>
  <si>
    <t xml:space="preserve">      Total 41000 Salaries</t>
  </si>
  <si>
    <t xml:space="preserve">      42000 Benefits</t>
  </si>
  <si>
    <t xml:space="preserve">         42200 Payroll Taxes</t>
  </si>
  <si>
    <t xml:space="preserve">         42300 Staff Retention &amp; Reception</t>
  </si>
  <si>
    <t xml:space="preserve">      Total 42000 Benefits</t>
  </si>
  <si>
    <t xml:space="preserve">   Total 40000 Personnel</t>
  </si>
  <si>
    <t xml:space="preserve">      51000 Wilson Blvd</t>
  </si>
  <si>
    <t xml:space="preserve">         51200 New Equipment</t>
  </si>
  <si>
    <t xml:space="preserve">         51400 Operations</t>
  </si>
  <si>
    <t xml:space="preserve">         51500 Utilities</t>
  </si>
  <si>
    <t xml:space="preserve">         51700 Mortgage Interest</t>
  </si>
  <si>
    <t xml:space="preserve">         51750 Mortgage Principal</t>
  </si>
  <si>
    <t xml:space="preserve">         51800 Repairs &amp; Maintenance</t>
  </si>
  <si>
    <t xml:space="preserve">         51850 DMA Transfers</t>
  </si>
  <si>
    <t xml:space="preserve">      Total 51000 Wilson Blvd</t>
  </si>
  <si>
    <t xml:space="preserve">      53000 Chambersburg</t>
  </si>
  <si>
    <t xml:space="preserve">         53100 Lease/Rental</t>
  </si>
  <si>
    <t xml:space="preserve">         53200 New Equipment</t>
  </si>
  <si>
    <t xml:space="preserve">         53400 Operations</t>
  </si>
  <si>
    <t xml:space="preserve">         53500 Utilities</t>
  </si>
  <si>
    <t xml:space="preserve">         53800 Repairs &amp; Maintenance</t>
  </si>
  <si>
    <t xml:space="preserve">      Total 53000 Chambersburg</t>
  </si>
  <si>
    <t xml:space="preserve">      54000 Frederick</t>
  </si>
  <si>
    <t xml:space="preserve">         54100 Lease/Rental</t>
  </si>
  <si>
    <t xml:space="preserve">         54200 New Equipment</t>
  </si>
  <si>
    <t xml:space="preserve">         54400 Operations</t>
  </si>
  <si>
    <t xml:space="preserve">         54500 Utilities</t>
  </si>
  <si>
    <t xml:space="preserve">      Total 54000 Frederick</t>
  </si>
  <si>
    <t xml:space="preserve">   Total 50000 Facilities</t>
  </si>
  <si>
    <t xml:space="preserve">      60010 Database &amp; Connectivity</t>
  </si>
  <si>
    <t xml:space="preserve">      60015 Pastor Provisions</t>
  </si>
  <si>
    <t xml:space="preserve">      60020 Professional Services</t>
  </si>
  <si>
    <t xml:space="preserve">      60025 Office Supplies</t>
  </si>
  <si>
    <t xml:space="preserve">      60030 Bank Fees &amp; Other</t>
  </si>
  <si>
    <t xml:space="preserve">      60035 E-Giving Fees</t>
  </si>
  <si>
    <t xml:space="preserve">      60040 Insurance</t>
  </si>
  <si>
    <t xml:space="preserve">      60045 Miscellaneous</t>
  </si>
  <si>
    <t xml:space="preserve">      60050 Staff Development</t>
  </si>
  <si>
    <t xml:space="preserve">      60060 Merch Expenses &amp; Sales</t>
  </si>
  <si>
    <t xml:space="preserve">   Total 60000 Operations</t>
  </si>
  <si>
    <t xml:space="preserve">      72000 Youth Ministry</t>
  </si>
  <si>
    <t xml:space="preserve">         72050 Administration</t>
  </si>
  <si>
    <t xml:space="preserve">         72100 Cafe</t>
  </si>
  <si>
    <t xml:space="preserve">         72200 Events</t>
  </si>
  <si>
    <t xml:space="preserve">         72500 Ministry Expense - Chambersburg</t>
  </si>
  <si>
    <t xml:space="preserve">         72600 Ministry Expense - Wilson Blvd</t>
  </si>
  <si>
    <t xml:space="preserve">         72800 Ministry Expense - Frederick</t>
  </si>
  <si>
    <t xml:space="preserve">      Total 72000 Youth Ministry</t>
  </si>
  <si>
    <t xml:space="preserve">      73000 Campuses</t>
  </si>
  <si>
    <t xml:space="preserve">         73100 Wilson Blvd Campus</t>
  </si>
  <si>
    <t xml:space="preserve">            73110 First Impressions</t>
  </si>
  <si>
    <t xml:space="preserve">            73120 Volunteers</t>
  </si>
  <si>
    <t xml:space="preserve">            73130 Events</t>
  </si>
  <si>
    <t xml:space="preserve">            73140 Campus Pastor Provisions</t>
  </si>
  <si>
    <t xml:space="preserve">         Total 73100 Wilson Blvd Campus</t>
  </si>
  <si>
    <t xml:space="preserve">         73300 Chambersburg Campus</t>
  </si>
  <si>
    <t xml:space="preserve">            73310 First Impressions</t>
  </si>
  <si>
    <t xml:space="preserve">            73320 Volunteers</t>
  </si>
  <si>
    <t xml:space="preserve">            73330 Events</t>
  </si>
  <si>
    <t xml:space="preserve">            73340 Campus Pastor Provisions</t>
  </si>
  <si>
    <t xml:space="preserve">         Total 73300 Chambersburg Campus</t>
  </si>
  <si>
    <t xml:space="preserve">         73350 Frederick Campus</t>
  </si>
  <si>
    <t xml:space="preserve">            73351 First Impressions</t>
  </si>
  <si>
    <t xml:space="preserve">            73352 Volunteers</t>
  </si>
  <si>
    <t xml:space="preserve">            73353 Events</t>
  </si>
  <si>
    <t xml:space="preserve">         Total 73350 Frederick Campus</t>
  </si>
  <si>
    <t xml:space="preserve">         73360 Turntable Campus</t>
  </si>
  <si>
    <t xml:space="preserve">            73361 Turntable Expenses</t>
  </si>
  <si>
    <t xml:space="preserve">         Total 73360 Turntable Campus</t>
  </si>
  <si>
    <t xml:space="preserve">         73400 Congregational Care</t>
  </si>
  <si>
    <t xml:space="preserve">            73410 Care</t>
  </si>
  <si>
    <t xml:space="preserve">            73420 Assimilation</t>
  </si>
  <si>
    <t xml:space="preserve">         Total 73400 Congregational Care</t>
  </si>
  <si>
    <t xml:space="preserve">      Total 73000 Campuses</t>
  </si>
  <si>
    <t xml:space="preserve">      74000 Children's Ministry</t>
  </si>
  <si>
    <t xml:space="preserve">         74100 Administration</t>
  </si>
  <si>
    <t xml:space="preserve">         74200 Events</t>
  </si>
  <si>
    <t xml:space="preserve">         74300 Ministry Expense</t>
  </si>
  <si>
    <t xml:space="preserve">         74500 Wilson Blvd</t>
  </si>
  <si>
    <t xml:space="preserve">         74600 Chambersburg</t>
  </si>
  <si>
    <t xml:space="preserve">         74700 Frederick</t>
  </si>
  <si>
    <t xml:space="preserve">      Total 74000 Children's Ministry</t>
  </si>
  <si>
    <t xml:space="preserve">      75000 Creative Arts</t>
  </si>
  <si>
    <t xml:space="preserve">         75100 Administration</t>
  </si>
  <si>
    <t xml:space="preserve">         75300 Media Wilson Blvd</t>
  </si>
  <si>
    <t xml:space="preserve">         75450 Media Chambersburg</t>
  </si>
  <si>
    <t xml:space="preserve">         75460 Media Frederick</t>
  </si>
  <si>
    <t xml:space="preserve">         75500 Worship Wilson Blvd</t>
  </si>
  <si>
    <t xml:space="preserve">         75650 Worship Chambersburg</t>
  </si>
  <si>
    <t xml:space="preserve">         75660 Worship Frederick</t>
  </si>
  <si>
    <t xml:space="preserve">         75700 Communications</t>
  </si>
  <si>
    <t xml:space="preserve">            75710 Weekend Services</t>
  </si>
  <si>
    <t xml:space="preserve">            75720 Special Events</t>
  </si>
  <si>
    <t xml:space="preserve">            75730 Ministries</t>
  </si>
  <si>
    <t xml:space="preserve">            75740 Advertising</t>
  </si>
  <si>
    <t xml:space="preserve">         Total 75700 Communications</t>
  </si>
  <si>
    <t xml:space="preserve">      Total 75000 Creative Arts</t>
  </si>
  <si>
    <t xml:space="preserve">      76000 Discipleship Ministries</t>
  </si>
  <si>
    <t xml:space="preserve">         76100 Administration</t>
  </si>
  <si>
    <t xml:space="preserve">         76200 Life Groups</t>
  </si>
  <si>
    <t xml:space="preserve">            76230 Adult Life</t>
  </si>
  <si>
    <t xml:space="preserve">            76231 Wilson</t>
  </si>
  <si>
    <t xml:space="preserve">            76232 Women's Events</t>
  </si>
  <si>
    <t xml:space="preserve">            76234 Chambersburg</t>
  </si>
  <si>
    <t xml:space="preserve">            76240 Prime Timers</t>
  </si>
  <si>
    <t xml:space="preserve">            76260 Events</t>
  </si>
  <si>
    <t xml:space="preserve">            76270 Care Groups</t>
  </si>
  <si>
    <t xml:space="preserve">         Total 76200 Life Groups</t>
  </si>
  <si>
    <t xml:space="preserve">         76300 Lifehouse Leadership College</t>
  </si>
  <si>
    <t xml:space="preserve">         76400 Encounter Weekends</t>
  </si>
  <si>
    <t xml:space="preserve">         76450 Water Baptism</t>
  </si>
  <si>
    <t xml:space="preserve">         76500 Missions</t>
  </si>
  <si>
    <t xml:space="preserve">            76510 Missionary</t>
  </si>
  <si>
    <t xml:space="preserve">            76520 Administration</t>
  </si>
  <si>
    <t xml:space="preserve">            76530 Mission Trips</t>
  </si>
  <si>
    <t xml:space="preserve">            76600 Discipleship Mission Cafe</t>
  </si>
  <si>
    <t xml:space="preserve">         Total 76500 Missions</t>
  </si>
  <si>
    <t xml:space="preserve">      Total 76000 Discipleship Ministries</t>
  </si>
  <si>
    <t xml:space="preserve">      78000 Local Outreach</t>
  </si>
  <si>
    <t xml:space="preserve">   Total 70000 Ministries</t>
  </si>
  <si>
    <t>Monday, Jan 20, 2025 12:56:57 PM GMT-8 - Cash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</si>
</sst>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* \-#,##0.00;[Red]&quot;$&quot;* \-#,##0.00"/>
    <numFmt numFmtId="167" formatCode="#,##0.00;[Red]\-#,##0.00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pane ySplit="6" topLeftCell="A7" activePane="bottomLeft" state="frozen"/>
      <selection pane="bottomLeft" activeCell="A7" sqref="A7:XFD7"/>
    </sheetView>
  </sheetViews>
  <sheetFormatPr defaultRowHeight="14.4" x14ac:dyDescent="0.3"/>
  <cols>
    <col min="1" max="1" width="62.109375" customWidth="1"/>
    <col min="2" max="2" width="39" customWidth="1"/>
  </cols>
  <sheetData>
    <row r="1" spans="1:2" ht="17.399999999999999" x14ac:dyDescent="0.3">
      <c r="A1" s="13" t="s">
        <v>20</v>
      </c>
      <c r="B1" s="12"/>
    </row>
    <row r="2" spans="1:2" ht="17.399999999999999" x14ac:dyDescent="0.3">
      <c r="A2" s="13" t="s">
        <v>21</v>
      </c>
      <c r="B2" s="12"/>
    </row>
    <row r="3" spans="1:2" x14ac:dyDescent="0.3">
      <c r="A3" s="14" t="s">
        <v>22</v>
      </c>
      <c r="B3" s="12"/>
    </row>
    <row r="5" spans="1:2" x14ac:dyDescent="0.3">
      <c r="A5" s="1"/>
      <c r="B5" s="2" t="s">
        <v>0</v>
      </c>
    </row>
    <row r="6" spans="1:2" x14ac:dyDescent="0.3">
      <c r="A6" s="3" t="s">
        <v>1</v>
      </c>
      <c r="B6" s="4"/>
    </row>
    <row r="7" spans="1:2" x14ac:dyDescent="0.3">
      <c r="A7" s="3" t="s">
        <v>2</v>
      </c>
      <c r="B7" s="5">
        <f>1481312</f>
        <v>1481312</v>
      </c>
    </row>
    <row r="8" spans="1:2" x14ac:dyDescent="0.3">
      <c r="A8" s="3" t="s">
        <v>3</v>
      </c>
      <c r="B8" s="5">
        <f>60534.05</f>
        <v>60534.05</v>
      </c>
    </row>
    <row r="9" spans="1:2" x14ac:dyDescent="0.3">
      <c r="A9" s="3" t="s">
        <v>4</v>
      </c>
      <c r="B9" s="5">
        <f>47380.07</f>
        <v>47380.07</v>
      </c>
    </row>
    <row r="10" spans="1:2" x14ac:dyDescent="0.3">
      <c r="A10" s="3" t="s">
        <v>5</v>
      </c>
      <c r="B10" s="6">
        <f>((B7)+(B8))+(B9)</f>
        <v>1589226.12</v>
      </c>
    </row>
    <row r="11" spans="1:2" x14ac:dyDescent="0.3">
      <c r="A11" s="3" t="s">
        <v>6</v>
      </c>
      <c r="B11" s="6">
        <f>(B10)-(0)</f>
        <v>1589226.12</v>
      </c>
    </row>
    <row r="12" spans="1:2" x14ac:dyDescent="0.3">
      <c r="A12" s="3" t="s">
        <v>7</v>
      </c>
      <c r="B12" s="4"/>
    </row>
    <row r="13" spans="1:2" x14ac:dyDescent="0.3">
      <c r="A13" s="3" t="s">
        <v>8</v>
      </c>
      <c r="B13" s="5">
        <f>886268.6</f>
        <v>886268.6</v>
      </c>
    </row>
    <row r="14" spans="1:2" x14ac:dyDescent="0.3">
      <c r="A14" s="3" t="s">
        <v>9</v>
      </c>
      <c r="B14" s="5">
        <f>338640.07</f>
        <v>338640.07</v>
      </c>
    </row>
    <row r="15" spans="1:2" x14ac:dyDescent="0.3">
      <c r="A15" s="3" t="s">
        <v>10</v>
      </c>
      <c r="B15" s="5">
        <f>121297.55</f>
        <v>121297.55</v>
      </c>
    </row>
    <row r="16" spans="1:2" x14ac:dyDescent="0.3">
      <c r="A16" s="3" t="s">
        <v>11</v>
      </c>
      <c r="B16" s="5">
        <f>259062.65</f>
        <v>259062.65</v>
      </c>
    </row>
    <row r="17" spans="1:2" x14ac:dyDescent="0.3">
      <c r="A17" s="3" t="s">
        <v>12</v>
      </c>
      <c r="B17" s="6">
        <f>(((B13)+(B14))+(B15))+(B16)</f>
        <v>1605268.8699999999</v>
      </c>
    </row>
    <row r="18" spans="1:2" x14ac:dyDescent="0.3">
      <c r="A18" s="3" t="s">
        <v>13</v>
      </c>
      <c r="B18" s="7">
        <f>(B11)-(B17)</f>
        <v>-16042.749999999767</v>
      </c>
    </row>
    <row r="19" spans="1:2" x14ac:dyDescent="0.3">
      <c r="A19" s="3" t="s">
        <v>14</v>
      </c>
      <c r="B19" s="4"/>
    </row>
    <row r="20" spans="1:2" x14ac:dyDescent="0.3">
      <c r="A20" s="3" t="s">
        <v>15</v>
      </c>
      <c r="B20" s="5">
        <f>327068.09</f>
        <v>327068.09000000003</v>
      </c>
    </row>
    <row r="21" spans="1:2" x14ac:dyDescent="0.3">
      <c r="A21" s="3" t="s">
        <v>16</v>
      </c>
      <c r="B21" s="6">
        <f>B20</f>
        <v>327068.09000000003</v>
      </c>
    </row>
    <row r="22" spans="1:2" x14ac:dyDescent="0.3">
      <c r="A22" s="3" t="s">
        <v>17</v>
      </c>
      <c r="B22" s="7">
        <f>(0)-(B21)</f>
        <v>-327068.09000000003</v>
      </c>
    </row>
    <row r="23" spans="1:2" x14ac:dyDescent="0.3">
      <c r="A23" s="3" t="s">
        <v>18</v>
      </c>
      <c r="B23" s="8">
        <f>(B18)+(B22)</f>
        <v>-343110.83999999979</v>
      </c>
    </row>
    <row r="24" spans="1:2" x14ac:dyDescent="0.3">
      <c r="A24" s="3"/>
      <c r="B24" s="4"/>
    </row>
    <row r="27" spans="1:2" x14ac:dyDescent="0.3">
      <c r="A27" s="11" t="s">
        <v>19</v>
      </c>
      <c r="B27" s="12"/>
    </row>
  </sheetData>
  <mergeCells count="4">
    <mergeCell ref="A27:B27"/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49E9-3AEB-48C4-B15C-1E0BAD99A6F2}">
  <dimension ref="A1:B154"/>
  <sheetViews>
    <sheetView workbookViewId="0">
      <pane ySplit="6" topLeftCell="A7" activePane="bottomLeft" state="frozen"/>
      <selection pane="bottomLeft" activeCell="A39" sqref="A39"/>
    </sheetView>
  </sheetViews>
  <sheetFormatPr defaultColWidth="41.77734375" defaultRowHeight="14.4" x14ac:dyDescent="0.3"/>
  <cols>
    <col min="1" max="1" width="44.44140625" customWidth="1"/>
  </cols>
  <sheetData>
    <row r="1" spans="1:2" ht="17.399999999999999" x14ac:dyDescent="0.3">
      <c r="A1" s="13" t="s">
        <v>20</v>
      </c>
      <c r="B1" s="12"/>
    </row>
    <row r="2" spans="1:2" ht="17.399999999999999" x14ac:dyDescent="0.3">
      <c r="A2" s="13" t="s">
        <v>21</v>
      </c>
      <c r="B2" s="12"/>
    </row>
    <row r="3" spans="1:2" x14ac:dyDescent="0.3">
      <c r="A3" s="14" t="s">
        <v>22</v>
      </c>
      <c r="B3" s="12"/>
    </row>
    <row r="5" spans="1:2" x14ac:dyDescent="0.3">
      <c r="A5" s="1"/>
      <c r="B5" s="2" t="s">
        <v>0</v>
      </c>
    </row>
    <row r="6" spans="1:2" x14ac:dyDescent="0.3">
      <c r="A6" s="3" t="s">
        <v>1</v>
      </c>
      <c r="B6" s="4"/>
    </row>
    <row r="7" spans="1:2" x14ac:dyDescent="0.3">
      <c r="A7" s="3" t="s">
        <v>2</v>
      </c>
      <c r="B7" s="5">
        <f>1481312</f>
        <v>1481312</v>
      </c>
    </row>
    <row r="8" spans="1:2" x14ac:dyDescent="0.3">
      <c r="A8" s="3" t="s">
        <v>3</v>
      </c>
      <c r="B8" s="5">
        <f>60534.05</f>
        <v>60534.05</v>
      </c>
    </row>
    <row r="9" spans="1:2" x14ac:dyDescent="0.3">
      <c r="A9" s="3" t="s">
        <v>4</v>
      </c>
      <c r="B9" s="5">
        <f>47380.07</f>
        <v>47380.07</v>
      </c>
    </row>
    <row r="10" spans="1:2" x14ac:dyDescent="0.3">
      <c r="A10" s="3" t="s">
        <v>5</v>
      </c>
      <c r="B10" s="9">
        <f>((B7)+(B8))+(B9)</f>
        <v>1589226.12</v>
      </c>
    </row>
    <row r="11" spans="1:2" x14ac:dyDescent="0.3">
      <c r="A11" s="3" t="s">
        <v>6</v>
      </c>
      <c r="B11" s="9">
        <f>(B10)-(0)</f>
        <v>1589226.12</v>
      </c>
    </row>
    <row r="12" spans="1:2" x14ac:dyDescent="0.3">
      <c r="A12" s="3" t="s">
        <v>7</v>
      </c>
      <c r="B12" s="4"/>
    </row>
    <row r="13" spans="1:2" x14ac:dyDescent="0.3">
      <c r="A13" s="3" t="s">
        <v>8</v>
      </c>
      <c r="B13" s="4"/>
    </row>
    <row r="14" spans="1:2" x14ac:dyDescent="0.3">
      <c r="A14" s="3" t="s">
        <v>23</v>
      </c>
      <c r="B14" s="4"/>
    </row>
    <row r="15" spans="1:2" x14ac:dyDescent="0.3">
      <c r="A15" s="3" t="s">
        <v>24</v>
      </c>
      <c r="B15" s="5">
        <f>391724.97</f>
        <v>391724.97</v>
      </c>
    </row>
    <row r="16" spans="1:2" x14ac:dyDescent="0.3">
      <c r="A16" s="3" t="s">
        <v>25</v>
      </c>
      <c r="B16" s="5">
        <f>83024.89</f>
        <v>83024.89</v>
      </c>
    </row>
    <row r="17" spans="1:2" x14ac:dyDescent="0.3">
      <c r="A17" s="3" t="s">
        <v>26</v>
      </c>
      <c r="B17" s="5">
        <f>109641.85</f>
        <v>109641.85</v>
      </c>
    </row>
    <row r="18" spans="1:2" x14ac:dyDescent="0.3">
      <c r="A18" s="3" t="s">
        <v>27</v>
      </c>
      <c r="B18" s="5">
        <f>67808.42</f>
        <v>67808.42</v>
      </c>
    </row>
    <row r="19" spans="1:2" x14ac:dyDescent="0.3">
      <c r="A19" s="3" t="s">
        <v>28</v>
      </c>
      <c r="B19" s="5">
        <f>96485.9</f>
        <v>96485.9</v>
      </c>
    </row>
    <row r="20" spans="1:2" x14ac:dyDescent="0.3">
      <c r="A20" s="3" t="s">
        <v>29</v>
      </c>
      <c r="B20" s="5">
        <f>92941.67</f>
        <v>92941.67</v>
      </c>
    </row>
    <row r="21" spans="1:2" x14ac:dyDescent="0.3">
      <c r="A21" s="3" t="s">
        <v>30</v>
      </c>
      <c r="B21" s="9">
        <f>((((((B14)+(B15))+(B16))+(B17))+(B18))+(B19))+(B20)</f>
        <v>841627.70000000007</v>
      </c>
    </row>
    <row r="22" spans="1:2" x14ac:dyDescent="0.3">
      <c r="A22" s="3" t="s">
        <v>31</v>
      </c>
      <c r="B22" s="4"/>
    </row>
    <row r="23" spans="1:2" x14ac:dyDescent="0.3">
      <c r="A23" s="3" t="s">
        <v>32</v>
      </c>
      <c r="B23" s="5">
        <f>21134.38</f>
        <v>21134.38</v>
      </c>
    </row>
    <row r="24" spans="1:2" x14ac:dyDescent="0.3">
      <c r="A24" s="3" t="s">
        <v>33</v>
      </c>
      <c r="B24" s="5">
        <f>23506.52</f>
        <v>23506.52</v>
      </c>
    </row>
    <row r="25" spans="1:2" x14ac:dyDescent="0.3">
      <c r="A25" s="3" t="s">
        <v>34</v>
      </c>
      <c r="B25" s="9">
        <f>((B22)+(B23))+(B24)</f>
        <v>44640.9</v>
      </c>
    </row>
    <row r="26" spans="1:2" x14ac:dyDescent="0.3">
      <c r="A26" s="3" t="s">
        <v>35</v>
      </c>
      <c r="B26" s="9">
        <f>((B13)+(B21))+(B25)</f>
        <v>886268.60000000009</v>
      </c>
    </row>
    <row r="27" spans="1:2" x14ac:dyDescent="0.3">
      <c r="A27" s="3" t="s">
        <v>9</v>
      </c>
      <c r="B27" s="4"/>
    </row>
    <row r="28" spans="1:2" x14ac:dyDescent="0.3">
      <c r="A28" s="3" t="s">
        <v>36</v>
      </c>
      <c r="B28" s="4"/>
    </row>
    <row r="29" spans="1:2" x14ac:dyDescent="0.3">
      <c r="A29" s="3" t="s">
        <v>37</v>
      </c>
      <c r="B29" s="5">
        <f>0</f>
        <v>0</v>
      </c>
    </row>
    <row r="30" spans="1:2" x14ac:dyDescent="0.3">
      <c r="A30" s="3" t="s">
        <v>38</v>
      </c>
      <c r="B30" s="5">
        <f>18432.08</f>
        <v>18432.080000000002</v>
      </c>
    </row>
    <row r="31" spans="1:2" x14ac:dyDescent="0.3">
      <c r="A31" s="3" t="s">
        <v>39</v>
      </c>
      <c r="B31" s="5">
        <f>44718.21</f>
        <v>44718.21</v>
      </c>
    </row>
    <row r="32" spans="1:2" x14ac:dyDescent="0.3">
      <c r="A32" s="3" t="s">
        <v>40</v>
      </c>
      <c r="B32" s="5">
        <f>55695.86</f>
        <v>55695.86</v>
      </c>
    </row>
    <row r="33" spans="1:2" x14ac:dyDescent="0.3">
      <c r="A33" s="3" t="s">
        <v>41</v>
      </c>
      <c r="B33" s="5">
        <f>0</f>
        <v>0</v>
      </c>
    </row>
    <row r="34" spans="1:2" x14ac:dyDescent="0.3">
      <c r="A34" s="3" t="s">
        <v>42</v>
      </c>
      <c r="B34" s="5">
        <f>26043.24</f>
        <v>26043.24</v>
      </c>
    </row>
    <row r="35" spans="1:2" x14ac:dyDescent="0.3">
      <c r="A35" s="3" t="s">
        <v>43</v>
      </c>
      <c r="B35" s="5">
        <f>0</f>
        <v>0</v>
      </c>
    </row>
    <row r="36" spans="1:2" x14ac:dyDescent="0.3">
      <c r="A36" s="3" t="s">
        <v>44</v>
      </c>
      <c r="B36" s="9">
        <f>(((((((B28)+(B29))+(B30))+(B31))+(B32))+(B33))+(B34))+(B35)</f>
        <v>144889.38999999998</v>
      </c>
    </row>
    <row r="37" spans="1:2" x14ac:dyDescent="0.3">
      <c r="A37" s="3" t="s">
        <v>45</v>
      </c>
      <c r="B37" s="4"/>
    </row>
    <row r="38" spans="1:2" x14ac:dyDescent="0.3">
      <c r="A38" s="3" t="s">
        <v>46</v>
      </c>
      <c r="B38" s="5">
        <f>119977.39</f>
        <v>119977.39</v>
      </c>
    </row>
    <row r="39" spans="1:2" x14ac:dyDescent="0.3">
      <c r="A39" s="3" t="s">
        <v>47</v>
      </c>
      <c r="B39" s="5">
        <f>447</f>
        <v>447</v>
      </c>
    </row>
    <row r="40" spans="1:2" x14ac:dyDescent="0.3">
      <c r="A40" s="3" t="s">
        <v>48</v>
      </c>
      <c r="B40" s="5">
        <f>11239.19</f>
        <v>11239.19</v>
      </c>
    </row>
    <row r="41" spans="1:2" x14ac:dyDescent="0.3">
      <c r="A41" s="3" t="s">
        <v>49</v>
      </c>
      <c r="B41" s="5">
        <f>11449.65</f>
        <v>11449.65</v>
      </c>
    </row>
    <row r="42" spans="1:2" x14ac:dyDescent="0.3">
      <c r="A42" s="3" t="s">
        <v>50</v>
      </c>
      <c r="B42" s="5">
        <f>9440.9</f>
        <v>9440.9</v>
      </c>
    </row>
    <row r="43" spans="1:2" x14ac:dyDescent="0.3">
      <c r="A43" s="3" t="s">
        <v>51</v>
      </c>
      <c r="B43" s="9">
        <f>(((((B37)+(B38))+(B39))+(B40))+(B41))+(B42)</f>
        <v>152554.12999999998</v>
      </c>
    </row>
    <row r="44" spans="1:2" x14ac:dyDescent="0.3">
      <c r="A44" s="3" t="s">
        <v>52</v>
      </c>
      <c r="B44" s="4"/>
    </row>
    <row r="45" spans="1:2" x14ac:dyDescent="0.3">
      <c r="A45" s="3" t="s">
        <v>53</v>
      </c>
      <c r="B45" s="5">
        <f>35782.78</f>
        <v>35782.78</v>
      </c>
    </row>
    <row r="46" spans="1:2" x14ac:dyDescent="0.3">
      <c r="A46" s="3" t="s">
        <v>54</v>
      </c>
      <c r="B46" s="5">
        <f>1096.98</f>
        <v>1096.98</v>
      </c>
    </row>
    <row r="47" spans="1:2" x14ac:dyDescent="0.3">
      <c r="A47" s="3" t="s">
        <v>55</v>
      </c>
      <c r="B47" s="5">
        <f>2154.41</f>
        <v>2154.41</v>
      </c>
    </row>
    <row r="48" spans="1:2" x14ac:dyDescent="0.3">
      <c r="A48" s="3" t="s">
        <v>56</v>
      </c>
      <c r="B48" s="5">
        <f>2162.38</f>
        <v>2162.38</v>
      </c>
    </row>
    <row r="49" spans="1:2" x14ac:dyDescent="0.3">
      <c r="A49" s="3" t="s">
        <v>57</v>
      </c>
      <c r="B49" s="9">
        <f>((((B44)+(B45))+(B46))+(B47))+(B48)</f>
        <v>41196.549999999996</v>
      </c>
    </row>
    <row r="50" spans="1:2" x14ac:dyDescent="0.3">
      <c r="A50" s="3" t="s">
        <v>58</v>
      </c>
      <c r="B50" s="9">
        <f>(((B27)+(B36))+(B43))+(B49)</f>
        <v>338640.06999999995</v>
      </c>
    </row>
    <row r="51" spans="1:2" x14ac:dyDescent="0.3">
      <c r="A51" s="3" t="s">
        <v>10</v>
      </c>
      <c r="B51" s="4"/>
    </row>
    <row r="52" spans="1:2" x14ac:dyDescent="0.3">
      <c r="A52" s="3" t="s">
        <v>59</v>
      </c>
      <c r="B52" s="5">
        <f>5301.89</f>
        <v>5301.89</v>
      </c>
    </row>
    <row r="53" spans="1:2" x14ac:dyDescent="0.3">
      <c r="A53" s="3" t="s">
        <v>60</v>
      </c>
      <c r="B53" s="5">
        <f>2776.95</f>
        <v>2776.95</v>
      </c>
    </row>
    <row r="54" spans="1:2" x14ac:dyDescent="0.3">
      <c r="A54" s="3" t="s">
        <v>61</v>
      </c>
      <c r="B54" s="5">
        <f>9264.13</f>
        <v>9264.1299999999992</v>
      </c>
    </row>
    <row r="55" spans="1:2" x14ac:dyDescent="0.3">
      <c r="A55" s="3" t="s">
        <v>62</v>
      </c>
      <c r="B55" s="5">
        <f>12666.46</f>
        <v>12666.46</v>
      </c>
    </row>
    <row r="56" spans="1:2" x14ac:dyDescent="0.3">
      <c r="A56" s="3" t="s">
        <v>63</v>
      </c>
      <c r="B56" s="5">
        <f>274.88</f>
        <v>274.88</v>
      </c>
    </row>
    <row r="57" spans="1:2" x14ac:dyDescent="0.3">
      <c r="A57" s="3" t="s">
        <v>64</v>
      </c>
      <c r="B57" s="5">
        <f>42470.63</f>
        <v>42470.63</v>
      </c>
    </row>
    <row r="58" spans="1:2" x14ac:dyDescent="0.3">
      <c r="A58" s="3" t="s">
        <v>65</v>
      </c>
      <c r="B58" s="5">
        <f>38173.73</f>
        <v>38173.730000000003</v>
      </c>
    </row>
    <row r="59" spans="1:2" x14ac:dyDescent="0.3">
      <c r="A59" s="3" t="s">
        <v>66</v>
      </c>
      <c r="B59" s="5">
        <f>1229.87</f>
        <v>1229.8699999999999</v>
      </c>
    </row>
    <row r="60" spans="1:2" x14ac:dyDescent="0.3">
      <c r="A60" s="3" t="s">
        <v>67</v>
      </c>
      <c r="B60" s="5">
        <f>10198.56</f>
        <v>10198.56</v>
      </c>
    </row>
    <row r="61" spans="1:2" x14ac:dyDescent="0.3">
      <c r="A61" s="3" t="s">
        <v>68</v>
      </c>
      <c r="B61" s="10">
        <f>-1059.55</f>
        <v>-1059.55</v>
      </c>
    </row>
    <row r="62" spans="1:2" x14ac:dyDescent="0.3">
      <c r="A62" s="3" t="s">
        <v>69</v>
      </c>
      <c r="B62" s="9">
        <f>((((((((((B51)+(B52))+(B53))+(B54))+(B55))+(B56))+(B57))+(B58))+(B59))+(B60))+(B61)</f>
        <v>121297.55</v>
      </c>
    </row>
    <row r="63" spans="1:2" x14ac:dyDescent="0.3">
      <c r="A63" s="3" t="s">
        <v>11</v>
      </c>
      <c r="B63" s="4"/>
    </row>
    <row r="64" spans="1:2" x14ac:dyDescent="0.3">
      <c r="A64" s="3" t="s">
        <v>70</v>
      </c>
      <c r="B64" s="4"/>
    </row>
    <row r="65" spans="1:2" x14ac:dyDescent="0.3">
      <c r="A65" s="3" t="s">
        <v>71</v>
      </c>
      <c r="B65" s="5">
        <f>1769.89</f>
        <v>1769.89</v>
      </c>
    </row>
    <row r="66" spans="1:2" x14ac:dyDescent="0.3">
      <c r="A66" s="3" t="s">
        <v>72</v>
      </c>
      <c r="B66" s="10">
        <f>-24.5</f>
        <v>-24.5</v>
      </c>
    </row>
    <row r="67" spans="1:2" x14ac:dyDescent="0.3">
      <c r="A67" s="3" t="s">
        <v>73</v>
      </c>
      <c r="B67" s="5">
        <f>3986.43</f>
        <v>3986.43</v>
      </c>
    </row>
    <row r="68" spans="1:2" x14ac:dyDescent="0.3">
      <c r="A68" s="3" t="s">
        <v>74</v>
      </c>
      <c r="B68" s="5">
        <f>939.94</f>
        <v>939.94</v>
      </c>
    </row>
    <row r="69" spans="1:2" x14ac:dyDescent="0.3">
      <c r="A69" s="3" t="s">
        <v>75</v>
      </c>
      <c r="B69" s="5">
        <f>2054.77</f>
        <v>2054.77</v>
      </c>
    </row>
    <row r="70" spans="1:2" x14ac:dyDescent="0.3">
      <c r="A70" s="3" t="s">
        <v>76</v>
      </c>
      <c r="B70" s="5">
        <f>1681.86</f>
        <v>1681.86</v>
      </c>
    </row>
    <row r="71" spans="1:2" x14ac:dyDescent="0.3">
      <c r="A71" s="3" t="s">
        <v>77</v>
      </c>
      <c r="B71" s="9">
        <f>((((((B64)+(B65))+(B66))+(B67))+(B68))+(B69))+(B70)</f>
        <v>10408.390000000001</v>
      </c>
    </row>
    <row r="72" spans="1:2" x14ac:dyDescent="0.3">
      <c r="A72" s="3" t="s">
        <v>78</v>
      </c>
      <c r="B72" s="4"/>
    </row>
    <row r="73" spans="1:2" x14ac:dyDescent="0.3">
      <c r="A73" s="3" t="s">
        <v>79</v>
      </c>
      <c r="B73" s="4"/>
    </row>
    <row r="74" spans="1:2" x14ac:dyDescent="0.3">
      <c r="A74" s="3" t="s">
        <v>80</v>
      </c>
      <c r="B74" s="5">
        <f>15783.64</f>
        <v>15783.64</v>
      </c>
    </row>
    <row r="75" spans="1:2" x14ac:dyDescent="0.3">
      <c r="A75" s="3" t="s">
        <v>81</v>
      </c>
      <c r="B75" s="5">
        <f>6588.53</f>
        <v>6588.53</v>
      </c>
    </row>
    <row r="76" spans="1:2" x14ac:dyDescent="0.3">
      <c r="A76" s="3" t="s">
        <v>82</v>
      </c>
      <c r="B76" s="5">
        <f>2947.04</f>
        <v>2947.04</v>
      </c>
    </row>
    <row r="77" spans="1:2" x14ac:dyDescent="0.3">
      <c r="A77" s="3" t="s">
        <v>83</v>
      </c>
      <c r="B77" s="5">
        <f>849.67</f>
        <v>849.67</v>
      </c>
    </row>
    <row r="78" spans="1:2" x14ac:dyDescent="0.3">
      <c r="A78" s="3" t="s">
        <v>84</v>
      </c>
      <c r="B78" s="9">
        <f>((((B73)+(B74))+(B75))+(B76))+(B77)</f>
        <v>26168.879999999997</v>
      </c>
    </row>
    <row r="79" spans="1:2" x14ac:dyDescent="0.3">
      <c r="A79" s="3" t="s">
        <v>85</v>
      </c>
      <c r="B79" s="4"/>
    </row>
    <row r="80" spans="1:2" x14ac:dyDescent="0.3">
      <c r="A80" s="3" t="s">
        <v>86</v>
      </c>
      <c r="B80" s="5">
        <f>3362.93</f>
        <v>3362.93</v>
      </c>
    </row>
    <row r="81" spans="1:2" x14ac:dyDescent="0.3">
      <c r="A81" s="3" t="s">
        <v>87</v>
      </c>
      <c r="B81" s="5">
        <f>564.47</f>
        <v>564.47</v>
      </c>
    </row>
    <row r="82" spans="1:2" x14ac:dyDescent="0.3">
      <c r="A82" s="3" t="s">
        <v>88</v>
      </c>
      <c r="B82" s="5">
        <f>1824.46</f>
        <v>1824.46</v>
      </c>
    </row>
    <row r="83" spans="1:2" x14ac:dyDescent="0.3">
      <c r="A83" s="3" t="s">
        <v>89</v>
      </c>
      <c r="B83" s="5">
        <f>76.39</f>
        <v>76.39</v>
      </c>
    </row>
    <row r="84" spans="1:2" x14ac:dyDescent="0.3">
      <c r="A84" s="3" t="s">
        <v>90</v>
      </c>
      <c r="B84" s="9">
        <f>((((B79)+(B80))+(B81))+(B82))+(B83)</f>
        <v>5828.25</v>
      </c>
    </row>
    <row r="85" spans="1:2" x14ac:dyDescent="0.3">
      <c r="A85" s="3" t="s">
        <v>91</v>
      </c>
      <c r="B85" s="4"/>
    </row>
    <row r="86" spans="1:2" x14ac:dyDescent="0.3">
      <c r="A86" s="3" t="s">
        <v>92</v>
      </c>
      <c r="B86" s="5">
        <f>1849.79</f>
        <v>1849.79</v>
      </c>
    </row>
    <row r="87" spans="1:2" x14ac:dyDescent="0.3">
      <c r="A87" s="3" t="s">
        <v>93</v>
      </c>
      <c r="B87" s="5">
        <f>183.13</f>
        <v>183.13</v>
      </c>
    </row>
    <row r="88" spans="1:2" x14ac:dyDescent="0.3">
      <c r="A88" s="3" t="s">
        <v>94</v>
      </c>
      <c r="B88" s="5">
        <f>909.37</f>
        <v>909.37</v>
      </c>
    </row>
    <row r="89" spans="1:2" x14ac:dyDescent="0.3">
      <c r="A89" s="3" t="s">
        <v>95</v>
      </c>
      <c r="B89" s="9">
        <f>(((B85)+(B86))+(B87))+(B88)</f>
        <v>2942.29</v>
      </c>
    </row>
    <row r="90" spans="1:2" x14ac:dyDescent="0.3">
      <c r="A90" s="3" t="s">
        <v>96</v>
      </c>
      <c r="B90" s="4"/>
    </row>
    <row r="91" spans="1:2" x14ac:dyDescent="0.3">
      <c r="A91" s="3" t="s">
        <v>97</v>
      </c>
      <c r="B91" s="5">
        <f>3010.08</f>
        <v>3010.08</v>
      </c>
    </row>
    <row r="92" spans="1:2" x14ac:dyDescent="0.3">
      <c r="A92" s="3" t="s">
        <v>98</v>
      </c>
      <c r="B92" s="9">
        <f>(B90)+(B91)</f>
        <v>3010.08</v>
      </c>
    </row>
    <row r="93" spans="1:2" x14ac:dyDescent="0.3">
      <c r="A93" s="3" t="s">
        <v>99</v>
      </c>
      <c r="B93" s="4"/>
    </row>
    <row r="94" spans="1:2" x14ac:dyDescent="0.3">
      <c r="A94" s="3" t="s">
        <v>100</v>
      </c>
      <c r="B94" s="5">
        <f>396.16</f>
        <v>396.16</v>
      </c>
    </row>
    <row r="95" spans="1:2" x14ac:dyDescent="0.3">
      <c r="A95" s="3" t="s">
        <v>101</v>
      </c>
      <c r="B95" s="5">
        <f>2893.68</f>
        <v>2893.68</v>
      </c>
    </row>
    <row r="96" spans="1:2" x14ac:dyDescent="0.3">
      <c r="A96" s="3" t="s">
        <v>102</v>
      </c>
      <c r="B96" s="9">
        <f>((B93)+(B94))+(B95)</f>
        <v>3289.8399999999997</v>
      </c>
    </row>
    <row r="97" spans="1:2" x14ac:dyDescent="0.3">
      <c r="A97" s="3" t="s">
        <v>103</v>
      </c>
      <c r="B97" s="9">
        <f>(((((B72)+(B78))+(B84))+(B89))+(B92))+(B96)</f>
        <v>41239.339999999997</v>
      </c>
    </row>
    <row r="98" spans="1:2" x14ac:dyDescent="0.3">
      <c r="A98" s="3" t="s">
        <v>104</v>
      </c>
      <c r="B98" s="4"/>
    </row>
    <row r="99" spans="1:2" x14ac:dyDescent="0.3">
      <c r="A99" s="3" t="s">
        <v>105</v>
      </c>
      <c r="B99" s="5">
        <f>2144.61</f>
        <v>2144.61</v>
      </c>
    </row>
    <row r="100" spans="1:2" x14ac:dyDescent="0.3">
      <c r="A100" s="3" t="s">
        <v>106</v>
      </c>
      <c r="B100" s="5">
        <f>2905.74</f>
        <v>2905.74</v>
      </c>
    </row>
    <row r="101" spans="1:2" x14ac:dyDescent="0.3">
      <c r="A101" s="3" t="s">
        <v>107</v>
      </c>
      <c r="B101" s="5">
        <f>1730</f>
        <v>1730</v>
      </c>
    </row>
    <row r="102" spans="1:2" x14ac:dyDescent="0.3">
      <c r="A102" s="3" t="s">
        <v>108</v>
      </c>
      <c r="B102" s="5">
        <f>5212.32</f>
        <v>5212.32</v>
      </c>
    </row>
    <row r="103" spans="1:2" x14ac:dyDescent="0.3">
      <c r="A103" s="3" t="s">
        <v>109</v>
      </c>
      <c r="B103" s="5">
        <f>1623.15</f>
        <v>1623.15</v>
      </c>
    </row>
    <row r="104" spans="1:2" x14ac:dyDescent="0.3">
      <c r="A104" s="3" t="s">
        <v>110</v>
      </c>
      <c r="B104" s="5">
        <f>1845.95</f>
        <v>1845.95</v>
      </c>
    </row>
    <row r="105" spans="1:2" x14ac:dyDescent="0.3">
      <c r="A105" s="3" t="s">
        <v>111</v>
      </c>
      <c r="B105" s="9">
        <f>((((((B98)+(B99))+(B100))+(B101))+(B102))+(B103))+(B104)</f>
        <v>15461.77</v>
      </c>
    </row>
    <row r="106" spans="1:2" x14ac:dyDescent="0.3">
      <c r="A106" s="3" t="s">
        <v>112</v>
      </c>
      <c r="B106" s="4"/>
    </row>
    <row r="107" spans="1:2" x14ac:dyDescent="0.3">
      <c r="A107" s="3" t="s">
        <v>113</v>
      </c>
      <c r="B107" s="5">
        <f>26332.99</f>
        <v>26332.99</v>
      </c>
    </row>
    <row r="108" spans="1:2" x14ac:dyDescent="0.3">
      <c r="A108" s="3" t="s">
        <v>114</v>
      </c>
      <c r="B108" s="5">
        <f>21278.45</f>
        <v>21278.45</v>
      </c>
    </row>
    <row r="109" spans="1:2" x14ac:dyDescent="0.3">
      <c r="A109" s="3" t="s">
        <v>115</v>
      </c>
      <c r="B109" s="10">
        <f>-1546.63</f>
        <v>-1546.63</v>
      </c>
    </row>
    <row r="110" spans="1:2" x14ac:dyDescent="0.3">
      <c r="A110" s="3" t="s">
        <v>116</v>
      </c>
      <c r="B110" s="5">
        <f>1138.02</f>
        <v>1138.02</v>
      </c>
    </row>
    <row r="111" spans="1:2" x14ac:dyDescent="0.3">
      <c r="A111" s="3" t="s">
        <v>117</v>
      </c>
      <c r="B111" s="5">
        <f>5968.75</f>
        <v>5968.75</v>
      </c>
    </row>
    <row r="112" spans="1:2" x14ac:dyDescent="0.3">
      <c r="A112" s="3" t="s">
        <v>118</v>
      </c>
      <c r="B112" s="5">
        <f>438.67</f>
        <v>438.67</v>
      </c>
    </row>
    <row r="113" spans="1:2" x14ac:dyDescent="0.3">
      <c r="A113" s="3" t="s">
        <v>119</v>
      </c>
      <c r="B113" s="5">
        <f>248.6</f>
        <v>248.6</v>
      </c>
    </row>
    <row r="114" spans="1:2" x14ac:dyDescent="0.3">
      <c r="A114" s="3" t="s">
        <v>120</v>
      </c>
      <c r="B114" s="4"/>
    </row>
    <row r="115" spans="1:2" x14ac:dyDescent="0.3">
      <c r="A115" s="3" t="s">
        <v>121</v>
      </c>
      <c r="B115" s="5">
        <f>200.24</f>
        <v>200.24</v>
      </c>
    </row>
    <row r="116" spans="1:2" x14ac:dyDescent="0.3">
      <c r="A116" s="3" t="s">
        <v>122</v>
      </c>
      <c r="B116" s="5">
        <f>525.2</f>
        <v>525.20000000000005</v>
      </c>
    </row>
    <row r="117" spans="1:2" x14ac:dyDescent="0.3">
      <c r="A117" s="3" t="s">
        <v>123</v>
      </c>
      <c r="B117" s="5">
        <f>617.9</f>
        <v>617.9</v>
      </c>
    </row>
    <row r="118" spans="1:2" x14ac:dyDescent="0.3">
      <c r="A118" s="3" t="s">
        <v>124</v>
      </c>
      <c r="B118" s="5">
        <f>12733.08</f>
        <v>12733.08</v>
      </c>
    </row>
    <row r="119" spans="1:2" x14ac:dyDescent="0.3">
      <c r="A119" s="3" t="s">
        <v>125</v>
      </c>
      <c r="B119" s="9">
        <f>((((B114)+(B115))+(B116))+(B117))+(B118)</f>
        <v>14076.42</v>
      </c>
    </row>
    <row r="120" spans="1:2" x14ac:dyDescent="0.3">
      <c r="A120" s="3" t="s">
        <v>126</v>
      </c>
      <c r="B120" s="9">
        <f>((((((((B106)+(B107))+(B108))+(B109))+(B110))+(B111))+(B112))+(B113))+(B119)</f>
        <v>67935.27</v>
      </c>
    </row>
    <row r="121" spans="1:2" x14ac:dyDescent="0.3">
      <c r="A121" s="3" t="s">
        <v>127</v>
      </c>
      <c r="B121" s="4"/>
    </row>
    <row r="122" spans="1:2" x14ac:dyDescent="0.3">
      <c r="A122" s="3" t="s">
        <v>128</v>
      </c>
      <c r="B122" s="5">
        <f>3578.58</f>
        <v>3578.58</v>
      </c>
    </row>
    <row r="123" spans="1:2" x14ac:dyDescent="0.3">
      <c r="A123" s="3" t="s">
        <v>129</v>
      </c>
      <c r="B123" s="4"/>
    </row>
    <row r="124" spans="1:2" x14ac:dyDescent="0.3">
      <c r="A124" s="3" t="s">
        <v>130</v>
      </c>
      <c r="B124" s="5">
        <f>2142.07</f>
        <v>2142.0700000000002</v>
      </c>
    </row>
    <row r="125" spans="1:2" x14ac:dyDescent="0.3">
      <c r="A125" s="3" t="s">
        <v>131</v>
      </c>
      <c r="B125" s="5">
        <f>70.1</f>
        <v>70.099999999999994</v>
      </c>
    </row>
    <row r="126" spans="1:2" x14ac:dyDescent="0.3">
      <c r="A126" s="3" t="s">
        <v>132</v>
      </c>
      <c r="B126" s="5">
        <f>2937.7</f>
        <v>2937.7</v>
      </c>
    </row>
    <row r="127" spans="1:2" x14ac:dyDescent="0.3">
      <c r="A127" s="3" t="s">
        <v>133</v>
      </c>
      <c r="B127" s="5">
        <f>12.36</f>
        <v>12.36</v>
      </c>
    </row>
    <row r="128" spans="1:2" x14ac:dyDescent="0.3">
      <c r="A128" s="3" t="s">
        <v>134</v>
      </c>
      <c r="B128" s="5">
        <f>325.1</f>
        <v>325.10000000000002</v>
      </c>
    </row>
    <row r="129" spans="1:2" x14ac:dyDescent="0.3">
      <c r="A129" s="3" t="s">
        <v>135</v>
      </c>
      <c r="B129" s="5">
        <f>1188.09</f>
        <v>1188.0899999999999</v>
      </c>
    </row>
    <row r="130" spans="1:2" x14ac:dyDescent="0.3">
      <c r="A130" s="3" t="s">
        <v>136</v>
      </c>
      <c r="B130" s="10">
        <f>-475</f>
        <v>-475</v>
      </c>
    </row>
    <row r="131" spans="1:2" x14ac:dyDescent="0.3">
      <c r="A131" s="3" t="s">
        <v>137</v>
      </c>
      <c r="B131" s="9">
        <f>(((((((B123)+(B124))+(B125))+(B126))+(B127))+(B128))+(B129))+(B130)</f>
        <v>6200.42</v>
      </c>
    </row>
    <row r="132" spans="1:2" x14ac:dyDescent="0.3">
      <c r="A132" s="3" t="s">
        <v>138</v>
      </c>
      <c r="B132" s="5">
        <f>210.1</f>
        <v>210.1</v>
      </c>
    </row>
    <row r="133" spans="1:2" x14ac:dyDescent="0.3">
      <c r="A133" s="3" t="s">
        <v>139</v>
      </c>
      <c r="B133" s="5">
        <f>250</f>
        <v>250</v>
      </c>
    </row>
    <row r="134" spans="1:2" x14ac:dyDescent="0.3">
      <c r="A134" s="3" t="s">
        <v>140</v>
      </c>
      <c r="B134" s="5">
        <f>1313.64</f>
        <v>1313.64</v>
      </c>
    </row>
    <row r="135" spans="1:2" x14ac:dyDescent="0.3">
      <c r="A135" s="3" t="s">
        <v>141</v>
      </c>
      <c r="B135" s="4"/>
    </row>
    <row r="136" spans="1:2" x14ac:dyDescent="0.3">
      <c r="A136" s="3" t="s">
        <v>142</v>
      </c>
      <c r="B136" s="5">
        <f>112235</f>
        <v>112235</v>
      </c>
    </row>
    <row r="137" spans="1:2" x14ac:dyDescent="0.3">
      <c r="A137" s="3" t="s">
        <v>143</v>
      </c>
      <c r="B137" s="5">
        <f>55</f>
        <v>55</v>
      </c>
    </row>
    <row r="138" spans="1:2" x14ac:dyDescent="0.3">
      <c r="A138" s="3" t="s">
        <v>144</v>
      </c>
      <c r="B138" s="5">
        <f>343.89</f>
        <v>343.89</v>
      </c>
    </row>
    <row r="139" spans="1:2" x14ac:dyDescent="0.3">
      <c r="A139" s="3" t="s">
        <v>145</v>
      </c>
      <c r="B139" s="10">
        <f>-562.48</f>
        <v>-562.48</v>
      </c>
    </row>
    <row r="140" spans="1:2" x14ac:dyDescent="0.3">
      <c r="A140" s="3" t="s">
        <v>146</v>
      </c>
      <c r="B140" s="9">
        <f>((((B135)+(B136))+(B137))+(B138))+(B139)</f>
        <v>112071.41</v>
      </c>
    </row>
    <row r="141" spans="1:2" x14ac:dyDescent="0.3">
      <c r="A141" s="3" t="s">
        <v>147</v>
      </c>
      <c r="B141" s="9">
        <f>((((((B121)+(B122))+(B131))+(B132))+(B133))+(B134))+(B140)</f>
        <v>123624.15000000001</v>
      </c>
    </row>
    <row r="142" spans="1:2" x14ac:dyDescent="0.3">
      <c r="A142" s="3" t="s">
        <v>148</v>
      </c>
      <c r="B142" s="5">
        <f>393.73</f>
        <v>393.73</v>
      </c>
    </row>
    <row r="143" spans="1:2" x14ac:dyDescent="0.3">
      <c r="A143" s="3" t="s">
        <v>149</v>
      </c>
      <c r="B143" s="9">
        <f>((((((B63)+(B71))+(B97))+(B105))+(B120))+(B141))+(B142)</f>
        <v>259062.65000000005</v>
      </c>
    </row>
    <row r="144" spans="1:2" x14ac:dyDescent="0.3">
      <c r="A144" s="3" t="s">
        <v>12</v>
      </c>
      <c r="B144" s="9">
        <f>(((B26)+(B50))+(B62))+(B143)</f>
        <v>1605268.87</v>
      </c>
    </row>
    <row r="145" spans="1:2" x14ac:dyDescent="0.3">
      <c r="A145" s="3" t="s">
        <v>13</v>
      </c>
      <c r="B145" s="8">
        <f>(B11)-(B144)</f>
        <v>-16042.75</v>
      </c>
    </row>
    <row r="146" spans="1:2" x14ac:dyDescent="0.3">
      <c r="A146" s="3" t="s">
        <v>14</v>
      </c>
      <c r="B146" s="4"/>
    </row>
    <row r="147" spans="1:2" x14ac:dyDescent="0.3">
      <c r="A147" s="3" t="s">
        <v>15</v>
      </c>
      <c r="B147" s="5">
        <f>327068.09</f>
        <v>327068.09000000003</v>
      </c>
    </row>
    <row r="148" spans="1:2" x14ac:dyDescent="0.3">
      <c r="A148" s="3" t="s">
        <v>16</v>
      </c>
      <c r="B148" s="9">
        <f>B147</f>
        <v>327068.09000000003</v>
      </c>
    </row>
    <row r="149" spans="1:2" x14ac:dyDescent="0.3">
      <c r="A149" s="3" t="s">
        <v>17</v>
      </c>
      <c r="B149" s="8">
        <f>(0)-(B148)</f>
        <v>-327068.09000000003</v>
      </c>
    </row>
    <row r="150" spans="1:2" x14ac:dyDescent="0.3">
      <c r="A150" s="3" t="s">
        <v>18</v>
      </c>
      <c r="B150" s="8">
        <f>(B145)+(B149)</f>
        <v>-343110.84</v>
      </c>
    </row>
    <row r="151" spans="1:2" x14ac:dyDescent="0.3">
      <c r="A151" s="3"/>
      <c r="B151" s="4"/>
    </row>
    <row r="154" spans="1:2" x14ac:dyDescent="0.3">
      <c r="A154" s="11" t="s">
        <v>150</v>
      </c>
      <c r="B154" s="12"/>
    </row>
  </sheetData>
  <mergeCells count="4">
    <mergeCell ref="A1:B1"/>
    <mergeCell ref="A2:B2"/>
    <mergeCell ref="A3:B3"/>
    <mergeCell ref="A154:B1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Profit and Loss FY Prime Accts</vt:lpstr>
      <vt:lpstr>Profit and Loss FY w-Sub Accts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 Williams</cp:lastModifiedBy>
  <dcterms:created xsi:type="dcterms:W3CDTF">2025-01-20T20:53:35Z</dcterms:created>
  <dcterms:modified xsi:type="dcterms:W3CDTF">2025-02-11T19:49:23Z</dcterms:modified>
</cp:coreProperties>
</file>